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LIVESTOCK AND FISH\CRP3.7\CRP001\Budgets\2018\Flagship\"/>
    </mc:Choice>
  </mc:AlternateContent>
  <bookViews>
    <workbookView xWindow="0" yWindow="0" windowWidth="28800" windowHeight="12435" activeTab="2"/>
  </bookViews>
  <sheets>
    <sheet name="Approx 2018 ILRI prog alloctn" sheetId="4" r:id="rId1"/>
    <sheet name="2018 Flagship Allocation" sheetId="3" r:id="rId2"/>
    <sheet name="2017 Flagship Allocation" sheetId="1" r:id="rId3"/>
    <sheet name=" Flagship Management Costs" sheetId="2"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 l="1"/>
  <c r="H5" i="1"/>
  <c r="J11" i="4" l="1"/>
  <c r="I11" i="4"/>
  <c r="F26" i="4"/>
  <c r="F25" i="4"/>
  <c r="E27" i="4"/>
  <c r="E25" i="4"/>
  <c r="F25" i="3"/>
  <c r="E25" i="3" s="1"/>
  <c r="H26" i="3" s="1"/>
  <c r="H10" i="3" s="1"/>
  <c r="B11" i="4"/>
  <c r="F26" i="3" l="1"/>
  <c r="F10" i="3" s="1"/>
  <c r="C11" i="4" s="1"/>
  <c r="G26" i="3"/>
  <c r="G10" i="3" s="1"/>
  <c r="E10" i="3" l="1"/>
  <c r="C9" i="4" l="1"/>
  <c r="E8" i="3"/>
  <c r="F12" i="4" l="1"/>
  <c r="J12" i="4"/>
  <c r="K12" i="4"/>
  <c r="E12" i="4"/>
  <c r="J10" i="4"/>
  <c r="E7" i="4"/>
  <c r="D9" i="4" l="1"/>
  <c r="G9" i="4" s="1"/>
  <c r="G12" i="4" s="1"/>
  <c r="D11" i="4"/>
  <c r="I12" i="4" s="1"/>
  <c r="C10" i="4"/>
  <c r="C7" i="4"/>
  <c r="B10" i="4"/>
  <c r="D10" i="4" s="1"/>
  <c r="B8" i="4"/>
  <c r="B7" i="4"/>
  <c r="D7" i="4" s="1"/>
  <c r="E6" i="3" l="1"/>
  <c r="E5" i="3"/>
  <c r="G14" i="1"/>
  <c r="D9" i="2"/>
  <c r="E5" i="1"/>
  <c r="G9" i="3" l="1"/>
  <c r="H9" i="3"/>
  <c r="I9" i="3"/>
  <c r="F9" i="3"/>
  <c r="I5" i="3"/>
  <c r="H5" i="3"/>
  <c r="G5" i="3"/>
  <c r="F5" i="3"/>
  <c r="J7" i="2"/>
  <c r="D7" i="2" s="1"/>
  <c r="J9" i="2"/>
  <c r="D8" i="2"/>
  <c r="D10" i="2"/>
  <c r="D6" i="2"/>
  <c r="D5" i="2"/>
  <c r="G18" i="3" l="1"/>
  <c r="G16" i="3"/>
  <c r="G15" i="3"/>
  <c r="G19" i="3" l="1"/>
  <c r="D11" i="3"/>
  <c r="B11" i="3"/>
  <c r="E9" i="3"/>
  <c r="D10" i="1" l="1"/>
  <c r="B10" i="1"/>
  <c r="G18" i="1" l="1"/>
  <c r="E8" i="1"/>
  <c r="Q3" i="1"/>
  <c r="E4" i="1"/>
  <c r="T3" i="1"/>
  <c r="N3" i="1"/>
  <c r="I6" i="3" l="1"/>
  <c r="I11" i="3" s="1"/>
  <c r="F18" i="3" s="1"/>
  <c r="H18" i="3" s="1"/>
  <c r="F6" i="3"/>
  <c r="G6" i="3"/>
  <c r="G11" i="3" s="1"/>
  <c r="F16" i="3" s="1"/>
  <c r="H16" i="3" s="1"/>
  <c r="U3" i="1"/>
  <c r="R3" i="1"/>
  <c r="O3" i="1"/>
  <c r="E10" i="1"/>
  <c r="H6" i="3"/>
  <c r="H11" i="3" s="1"/>
  <c r="F17" i="3" s="1"/>
  <c r="H17" i="3" s="1"/>
  <c r="G10" i="1"/>
  <c r="F15" i="1" s="1"/>
  <c r="H15" i="1" s="1"/>
  <c r="F11" i="3" l="1"/>
  <c r="F15" i="3" s="1"/>
  <c r="C8" i="4"/>
  <c r="D8" i="4" s="1"/>
  <c r="H8" i="4" s="1"/>
  <c r="H12" i="4" s="1"/>
  <c r="F19" i="3"/>
  <c r="H15" i="3"/>
  <c r="H19" i="3" s="1"/>
  <c r="I10" i="1"/>
  <c r="F17" i="1" s="1"/>
  <c r="H17" i="1" s="1"/>
  <c r="H10" i="1"/>
  <c r="F16" i="1" s="1"/>
  <c r="H16" i="1" s="1"/>
  <c r="F10" i="1"/>
  <c r="F14" i="1" s="1"/>
  <c r="H14" i="1" l="1"/>
  <c r="H18" i="1" s="1"/>
  <c r="F18" i="1"/>
  <c r="E11" i="3"/>
</calcChain>
</file>

<file path=xl/sharedStrings.xml><?xml version="1.0" encoding="utf-8"?>
<sst xmlns="http://schemas.openxmlformats.org/spreadsheetml/2006/main" count="130" uniqueCount="56">
  <si>
    <t>Flagship</t>
  </si>
  <si>
    <t>Livestock Health</t>
  </si>
  <si>
    <t>Feeds and Forages</t>
  </si>
  <si>
    <t>Livestock Environment</t>
  </si>
  <si>
    <t>Livestock Livelihoods and Agri-Food Systems</t>
  </si>
  <si>
    <t>ILRI</t>
  </si>
  <si>
    <t>CIAT</t>
  </si>
  <si>
    <t>ICARDA</t>
  </si>
  <si>
    <t>SLU</t>
  </si>
  <si>
    <t>Total W1/W2</t>
  </si>
  <si>
    <t>Flagship Management</t>
  </si>
  <si>
    <t>W1/W2 Research activities</t>
  </si>
  <si>
    <t>Subtotal</t>
  </si>
  <si>
    <t>Research allocation</t>
  </si>
  <si>
    <t>Total Allocation</t>
  </si>
  <si>
    <t>Centers</t>
  </si>
  <si>
    <t>Management cost</t>
  </si>
  <si>
    <t>TOTAL</t>
  </si>
  <si>
    <t>Cost Categories</t>
  </si>
  <si>
    <t>Leader (20% salary)</t>
  </si>
  <si>
    <t>Administrator (20% salary)</t>
  </si>
  <si>
    <t>Other Admin office costs (20%)</t>
  </si>
  <si>
    <t>Team meetings</t>
  </si>
  <si>
    <t>Investment Fund</t>
  </si>
  <si>
    <t xml:space="preserve">Other:
</t>
  </si>
  <si>
    <t>Budget Holder</t>
  </si>
  <si>
    <t>2017 Allocation of W1/2 funding</t>
  </si>
  <si>
    <r>
      <t xml:space="preserve">2018 Allocation of W1/2 funding - </t>
    </r>
    <r>
      <rPr>
        <sz val="20"/>
        <color rgb="FFFF0000"/>
        <rFont val="Calibri"/>
        <family val="2"/>
        <scheme val="minor"/>
      </rPr>
      <t>PRELIMINARY ESTIMATES</t>
    </r>
  </si>
  <si>
    <t>80% funding scenario (option 7)</t>
  </si>
  <si>
    <t>Indirect costs</t>
  </si>
  <si>
    <t>Budget</t>
  </si>
  <si>
    <t>Actual TOTAL</t>
  </si>
  <si>
    <t>Leader (20% global cost)</t>
  </si>
  <si>
    <t>Administrator (20% glbl cost)</t>
  </si>
  <si>
    <t>VERY SKETCHY APPROXIMATE ILRI Program Livestock CRP W1/2 allocations for 2018</t>
  </si>
  <si>
    <t>NOTE: THESE AMOUNTS WILL BE CHANGED AS THE EACH FLAGSHIP REVIEWS ITS PRIORITIES IN RESPONSE TO REDUCED BUDGETS AND ILRI PROGRAM AMOUNTS WILL DEPEND ON THEIR AGREED ROLE IN IMPLEMENTING THE PRIORITY ACTIVITIES FOR 2018</t>
  </si>
  <si>
    <t>LIVESTOCK Flagship</t>
  </si>
  <si>
    <t>Flagship Research</t>
  </si>
  <si>
    <t>Flagship Total</t>
  </si>
  <si>
    <t>AHH</t>
  </si>
  <si>
    <t>Livestock Genetics</t>
  </si>
  <si>
    <t>BecA</t>
  </si>
  <si>
    <t>Feed &amp; Forage Dev</t>
  </si>
  <si>
    <t>PIL</t>
  </si>
  <si>
    <t>SLS</t>
  </si>
  <si>
    <t>Impact at Scale</t>
  </si>
  <si>
    <t>Other</t>
  </si>
  <si>
    <t>SIF</t>
  </si>
  <si>
    <t>LLAFS Jul 2016 allocation</t>
  </si>
  <si>
    <t>July 2016 allocation to PTVC, IPG, LSE</t>
  </si>
  <si>
    <t xml:space="preserve">Livestock Genetics </t>
  </si>
  <si>
    <t>Very rough estimate of W1/2 funding going to ILRI Programs</t>
  </si>
  <si>
    <t>W1/2 funding coming to ILRI by Flagship</t>
  </si>
  <si>
    <t>note: this does not include additional amounts to be allocated from the CRP Strategic Investment Fund, but there is no basis at this point for projecting those allocations</t>
  </si>
  <si>
    <t>ICARDA Additional Funds from ILRI</t>
  </si>
  <si>
    <t>Reduce ILRI budget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</si>
</sst>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8" x14ac:knownFonts="1">
    <font>
      <sz val="11"/>
      <color theme="1"/>
      <name val="Calibri"/>
      <family val="2"/>
      <scheme val="minor"/>
    </font>
    <font>
      <sz val="11"/>
      <color theme="1"/>
      <name val="Calibri"/>
      <family val="2"/>
      <scheme val="minor"/>
    </font>
    <font>
      <b/>
      <i/>
      <sz val="11"/>
      <color theme="1"/>
      <name val="Calibri"/>
      <family val="2"/>
      <scheme val="minor"/>
    </font>
    <font>
      <b/>
      <sz val="11"/>
      <color theme="1"/>
      <name val="Calibri"/>
      <family val="2"/>
      <scheme val="minor"/>
    </font>
    <font>
      <sz val="18"/>
      <color theme="1"/>
      <name val="Calibri"/>
      <family val="2"/>
      <scheme val="minor"/>
    </font>
    <font>
      <sz val="20"/>
      <color theme="1"/>
      <name val="Calibri"/>
      <family val="2"/>
      <scheme val="minor"/>
    </font>
    <font>
      <sz val="20"/>
      <color rgb="FFFF0000"/>
      <name val="Calibri"/>
      <family val="2"/>
      <scheme val="minor"/>
    </font>
    <font>
      <sz val="12"/>
      <color theme="1"/>
      <name val="Calibri"/>
      <family val="2"/>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2">
    <xf numFmtId="0" fontId="0" fillId="0" borderId="0" xfId="0"/>
    <xf numFmtId="164" fontId="0" fillId="0" borderId="0" xfId="1" applyNumberFormat="1" applyFont="1"/>
    <xf numFmtId="164" fontId="0" fillId="0" borderId="0" xfId="0" applyNumberFormat="1"/>
    <xf numFmtId="0" fontId="0" fillId="0" borderId="1" xfId="0" applyBorder="1"/>
    <xf numFmtId="164" fontId="0" fillId="0" borderId="1" xfId="1" applyNumberFormat="1" applyFont="1" applyBorder="1"/>
    <xf numFmtId="0" fontId="2" fillId="0" borderId="1" xfId="0" applyFont="1" applyBorder="1"/>
    <xf numFmtId="164" fontId="2" fillId="0" borderId="1" xfId="1" applyNumberFormat="1" applyFont="1" applyBorder="1"/>
    <xf numFmtId="0" fontId="0" fillId="0" borderId="4" xfId="0" applyBorder="1"/>
    <xf numFmtId="43" fontId="0" fillId="0" borderId="0" xfId="0" applyNumberFormat="1"/>
    <xf numFmtId="164" fontId="0" fillId="0" borderId="3" xfId="1" applyNumberFormat="1" applyFont="1" applyBorder="1"/>
    <xf numFmtId="164" fontId="3" fillId="0" borderId="5" xfId="0" applyNumberFormat="1" applyFont="1" applyBorder="1"/>
    <xf numFmtId="0" fontId="3" fillId="0" borderId="1" xfId="0" applyFont="1" applyBorder="1" applyAlignment="1">
      <alignment horizontal="center"/>
    </xf>
    <xf numFmtId="0" fontId="3" fillId="0" borderId="6" xfId="0" applyFont="1" applyBorder="1" applyAlignment="1">
      <alignment horizontal="center" wrapText="1"/>
    </xf>
    <xf numFmtId="0" fontId="0" fillId="0" borderId="8" xfId="0"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4" fillId="0" borderId="0" xfId="0" applyFont="1"/>
    <xf numFmtId="0" fontId="5" fillId="0" borderId="0" xfId="0" applyFont="1"/>
    <xf numFmtId="164" fontId="0" fillId="0" borderId="1" xfId="1" applyNumberFormat="1" applyFont="1" applyFill="1" applyBorder="1"/>
    <xf numFmtId="164" fontId="0" fillId="0" borderId="8" xfId="1" applyNumberFormat="1" applyFont="1" applyBorder="1"/>
    <xf numFmtId="164" fontId="0" fillId="0" borderId="13" xfId="1" applyNumberFormat="1" applyFont="1" applyBorder="1"/>
    <xf numFmtId="0" fontId="3" fillId="0" borderId="2" xfId="0" applyFont="1" applyFill="1" applyBorder="1" applyAlignment="1">
      <alignment horizontal="center"/>
    </xf>
    <xf numFmtId="9" fontId="0" fillId="0" borderId="0" xfId="2" applyFont="1"/>
    <xf numFmtId="164" fontId="0" fillId="0" borderId="6" xfId="1" applyNumberFormat="1" applyFont="1" applyBorder="1"/>
    <xf numFmtId="164" fontId="0" fillId="0" borderId="14" xfId="1" applyNumberFormat="1" applyFont="1" applyBorder="1"/>
    <xf numFmtId="164" fontId="0" fillId="0" borderId="2" xfId="1" applyNumberFormat="1" applyFont="1" applyBorder="1"/>
    <xf numFmtId="164" fontId="0" fillId="0" borderId="0" xfId="1" applyNumberFormat="1" applyFont="1" applyBorder="1"/>
    <xf numFmtId="0" fontId="0" fillId="0" borderId="0" xfId="0" applyBorder="1"/>
    <xf numFmtId="0" fontId="0" fillId="0" borderId="19" xfId="0" applyBorder="1"/>
    <xf numFmtId="0" fontId="0" fillId="0" borderId="18" xfId="0" applyBorder="1"/>
    <xf numFmtId="164" fontId="0" fillId="0" borderId="0" xfId="0" applyNumberFormat="1" applyBorder="1"/>
    <xf numFmtId="0" fontId="0" fillId="0" borderId="20" xfId="0" applyBorder="1"/>
    <xf numFmtId="0" fontId="0" fillId="0" borderId="21" xfId="0" applyBorder="1"/>
    <xf numFmtId="164" fontId="0" fillId="0" borderId="21" xfId="0" applyNumberFormat="1" applyBorder="1"/>
    <xf numFmtId="0" fontId="0" fillId="0" borderId="22" xfId="0" applyBorder="1"/>
    <xf numFmtId="164" fontId="0" fillId="0" borderId="15" xfId="0" applyNumberFormat="1" applyBorder="1"/>
    <xf numFmtId="0" fontId="0" fillId="0" borderId="16" xfId="0" applyBorder="1"/>
    <xf numFmtId="0" fontId="0" fillId="0" borderId="17" xfId="0" applyBorder="1"/>
    <xf numFmtId="0" fontId="7" fillId="0" borderId="0" xfId="0" applyFont="1"/>
    <xf numFmtId="0" fontId="0" fillId="0" borderId="0" xfId="0" applyBorder="1" applyAlignment="1">
      <alignment wrapText="1"/>
    </xf>
    <xf numFmtId="0" fontId="0" fillId="0" borderId="19" xfId="0" applyBorder="1" applyAlignment="1">
      <alignment wrapText="1"/>
    </xf>
    <xf numFmtId="0" fontId="0" fillId="0" borderId="8" xfId="0" applyBorder="1" applyAlignment="1">
      <alignment wrapText="1"/>
    </xf>
    <xf numFmtId="0" fontId="0" fillId="0" borderId="13" xfId="0" applyBorder="1" applyAlignment="1">
      <alignment wrapText="1"/>
    </xf>
    <xf numFmtId="0" fontId="0" fillId="0" borderId="9" xfId="0" applyBorder="1" applyAlignment="1">
      <alignment wrapText="1"/>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3" fillId="0" borderId="1" xfId="0" applyFont="1" applyBorder="1" applyAlignment="1"/>
    <xf numFmtId="164" fontId="3" fillId="0" borderId="1" xfId="1" applyNumberFormat="1" applyFont="1" applyBorder="1"/>
    <xf numFmtId="0" fontId="3" fillId="0" borderId="6" xfId="0" applyFont="1"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9" xfId="0" applyBorder="1" applyAlignment="1">
      <alignment horizontal="center" wrapText="1"/>
    </xf>
    <xf numFmtId="0" fontId="3" fillId="0" borderId="2"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3" fontId="0" fillId="0" borderId="0" xfId="0" applyNumberFormat="1"/>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election activeCell="A13" sqref="A13"/>
    </sheetView>
  </sheetViews>
  <sheetFormatPr defaultRowHeight="15" x14ac:dyDescent="0.25"/>
  <cols>
    <col min="1" max="1" width="39" customWidth="1"/>
    <col min="2" max="2" width="13.140625" customWidth="1"/>
    <col min="3" max="4" width="12.7109375" bestFit="1" customWidth="1"/>
    <col min="5" max="5" width="10.28515625" bestFit="1" customWidth="1"/>
    <col min="8" max="8" width="10.28515625" bestFit="1" customWidth="1"/>
    <col min="9" max="10" width="11.28515625" bestFit="1" customWidth="1"/>
  </cols>
  <sheetData>
    <row r="1" spans="1:11" ht="23.25" x14ac:dyDescent="0.35">
      <c r="A1" s="17" t="s">
        <v>34</v>
      </c>
    </row>
    <row r="3" spans="1:11" ht="15.75" x14ac:dyDescent="0.25">
      <c r="A3" s="39" t="s">
        <v>35</v>
      </c>
    </row>
    <row r="4" spans="1:11" x14ac:dyDescent="0.25">
      <c r="A4" t="s">
        <v>53</v>
      </c>
    </row>
    <row r="5" spans="1:11" x14ac:dyDescent="0.25">
      <c r="B5" s="47" t="s">
        <v>52</v>
      </c>
      <c r="C5" s="48"/>
      <c r="D5" s="49"/>
      <c r="E5" s="45" t="s">
        <v>51</v>
      </c>
      <c r="F5" s="45"/>
      <c r="G5" s="45"/>
      <c r="H5" s="45"/>
      <c r="I5" s="45"/>
      <c r="J5" s="45"/>
      <c r="K5" s="46"/>
    </row>
    <row r="6" spans="1:11" ht="45.75" thickBot="1" x14ac:dyDescent="0.3">
      <c r="A6" t="s">
        <v>36</v>
      </c>
      <c r="B6" s="42" t="s">
        <v>10</v>
      </c>
      <c r="C6" s="43" t="s">
        <v>37</v>
      </c>
      <c r="D6" s="44" t="s">
        <v>38</v>
      </c>
      <c r="E6" s="40" t="s">
        <v>40</v>
      </c>
      <c r="F6" s="40" t="s">
        <v>41</v>
      </c>
      <c r="G6" s="40" t="s">
        <v>42</v>
      </c>
      <c r="H6" s="40" t="s">
        <v>39</v>
      </c>
      <c r="I6" s="40" t="s">
        <v>43</v>
      </c>
      <c r="J6" s="40" t="s">
        <v>44</v>
      </c>
      <c r="K6" s="41" t="s">
        <v>45</v>
      </c>
    </row>
    <row r="7" spans="1:11" x14ac:dyDescent="0.25">
      <c r="A7" s="3" t="s">
        <v>40</v>
      </c>
      <c r="B7" s="24">
        <f>'2018 Flagship Allocation'!D5</f>
        <v>93228</v>
      </c>
      <c r="C7" s="25">
        <f>'2018 Flagship Allocation'!F5</f>
        <v>1692788.1680862042</v>
      </c>
      <c r="D7" s="24">
        <f>B7+C7</f>
        <v>1786016.1680862042</v>
      </c>
      <c r="E7" s="36">
        <f>D7</f>
        <v>1786016.1680862042</v>
      </c>
      <c r="F7" s="37">
        <v>0</v>
      </c>
      <c r="G7" s="37">
        <v>0</v>
      </c>
      <c r="H7" s="37">
        <v>0</v>
      </c>
      <c r="I7" s="37">
        <v>0</v>
      </c>
      <c r="J7" s="37">
        <v>0</v>
      </c>
      <c r="K7" s="38">
        <v>0</v>
      </c>
    </row>
    <row r="8" spans="1:11" x14ac:dyDescent="0.25">
      <c r="A8" s="3" t="s">
        <v>1</v>
      </c>
      <c r="B8" s="26">
        <f>'2018 Flagship Allocation'!D7</f>
        <v>14380</v>
      </c>
      <c r="C8" s="27">
        <f>'2018 Flagship Allocation'!F6</f>
        <v>2054943.6793497417</v>
      </c>
      <c r="D8" s="26">
        <f t="shared" ref="D8:D11" si="0">B8+C8</f>
        <v>2069323.6793497417</v>
      </c>
      <c r="E8" s="30">
        <v>0</v>
      </c>
      <c r="F8" s="28">
        <v>0</v>
      </c>
      <c r="G8" s="28">
        <v>0</v>
      </c>
      <c r="H8" s="31">
        <f>D8</f>
        <v>2069323.6793497417</v>
      </c>
      <c r="I8" s="28">
        <v>0</v>
      </c>
      <c r="J8" s="28">
        <v>0</v>
      </c>
      <c r="K8" s="29">
        <v>0</v>
      </c>
    </row>
    <row r="9" spans="1:11" x14ac:dyDescent="0.25">
      <c r="A9" s="3" t="s">
        <v>2</v>
      </c>
      <c r="B9" s="26">
        <v>0</v>
      </c>
      <c r="C9" s="27">
        <f>'2018 Flagship Allocation'!F8</f>
        <v>537000</v>
      </c>
      <c r="D9" s="26">
        <f t="shared" si="0"/>
        <v>537000</v>
      </c>
      <c r="E9" s="30">
        <v>0</v>
      </c>
      <c r="F9" s="28">
        <v>0</v>
      </c>
      <c r="G9" s="31">
        <f>D9</f>
        <v>537000</v>
      </c>
      <c r="H9" s="28">
        <v>0</v>
      </c>
      <c r="I9" s="28">
        <v>0</v>
      </c>
      <c r="J9" s="28">
        <v>0</v>
      </c>
      <c r="K9" s="29">
        <v>0</v>
      </c>
    </row>
    <row r="10" spans="1:11" x14ac:dyDescent="0.25">
      <c r="A10" s="3" t="s">
        <v>3</v>
      </c>
      <c r="B10" s="26">
        <f>'2018 Flagship Allocation'!D9</f>
        <v>50360</v>
      </c>
      <c r="C10" s="27">
        <f>'2018 Flagship Allocation'!F9</f>
        <v>570618.46196214086</v>
      </c>
      <c r="D10" s="26">
        <f t="shared" si="0"/>
        <v>620978.46196214086</v>
      </c>
      <c r="E10" s="30">
        <v>0</v>
      </c>
      <c r="F10" s="28">
        <v>0</v>
      </c>
      <c r="G10" s="28">
        <v>0</v>
      </c>
      <c r="H10" s="28">
        <v>0</v>
      </c>
      <c r="I10" s="28">
        <v>0</v>
      </c>
      <c r="J10" s="31">
        <f>D10</f>
        <v>620978.46196214086</v>
      </c>
      <c r="K10" s="29">
        <v>0</v>
      </c>
    </row>
    <row r="11" spans="1:11" ht="15.75" thickBot="1" x14ac:dyDescent="0.3">
      <c r="A11" s="3" t="s">
        <v>4</v>
      </c>
      <c r="B11" s="20">
        <f>'2018 Flagship Allocation'!D10</f>
        <v>50000</v>
      </c>
      <c r="C11" s="21">
        <f>'2018 Flagship Allocation'!F10</f>
        <v>1049356.633816808</v>
      </c>
      <c r="D11" s="20">
        <f t="shared" si="0"/>
        <v>1099356.633816808</v>
      </c>
      <c r="E11" s="32">
        <v>0</v>
      </c>
      <c r="F11" s="33">
        <v>0</v>
      </c>
      <c r="G11" s="33">
        <v>0</v>
      </c>
      <c r="H11" s="33">
        <v>0</v>
      </c>
      <c r="I11" s="34">
        <f>B11+F25*C11</f>
        <v>976303.35952419683</v>
      </c>
      <c r="J11" s="34">
        <f>C11*F26</f>
        <v>123053.27429261118</v>
      </c>
      <c r="K11" s="35">
        <v>0</v>
      </c>
    </row>
    <row r="12" spans="1:11" x14ac:dyDescent="0.25">
      <c r="E12" s="2">
        <f>SUM(E7:E11)</f>
        <v>1786016.1680862042</v>
      </c>
      <c r="F12" s="2">
        <f t="shared" ref="F12:K12" si="1">SUM(F7:F11)</f>
        <v>0</v>
      </c>
      <c r="G12" s="2">
        <f t="shared" si="1"/>
        <v>537000</v>
      </c>
      <c r="H12" s="2">
        <f t="shared" si="1"/>
        <v>2069323.6793497417</v>
      </c>
      <c r="I12" s="2">
        <f t="shared" si="1"/>
        <v>976303.35952419683</v>
      </c>
      <c r="J12" s="2">
        <f t="shared" si="1"/>
        <v>744031.73625475203</v>
      </c>
      <c r="K12" s="2">
        <f t="shared" si="1"/>
        <v>0</v>
      </c>
    </row>
    <row r="24" spans="4:6" x14ac:dyDescent="0.25">
      <c r="D24" t="s">
        <v>49</v>
      </c>
    </row>
    <row r="25" spans="4:6" x14ac:dyDescent="0.25">
      <c r="D25" t="s">
        <v>43</v>
      </c>
      <c r="E25">
        <f>1597508+244729</f>
        <v>1842237</v>
      </c>
      <c r="F25">
        <f>E25/E27</f>
        <v>0.88273455341390328</v>
      </c>
    </row>
    <row r="26" spans="4:6" x14ac:dyDescent="0.25">
      <c r="D26" t="s">
        <v>44</v>
      </c>
      <c r="E26">
        <v>244729</v>
      </c>
      <c r="F26">
        <f>E26/E27</f>
        <v>0.11726544658609675</v>
      </c>
    </row>
    <row r="27" spans="4:6" x14ac:dyDescent="0.25">
      <c r="E27">
        <f>SUM(E25:E26)</f>
        <v>2086966</v>
      </c>
    </row>
  </sheetData>
  <mergeCells count="2">
    <mergeCell ref="E5:K5"/>
    <mergeCell ref="B5:D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election activeCell="F26" sqref="F26:H26"/>
    </sheetView>
  </sheetViews>
  <sheetFormatPr defaultRowHeight="15" x14ac:dyDescent="0.25"/>
  <cols>
    <col min="1" max="1" width="37.85546875" customWidth="1"/>
    <col min="2" max="2" width="13.28515625" customWidth="1"/>
    <col min="3" max="3" width="5.42578125" customWidth="1"/>
    <col min="4" max="4" width="10.42578125" customWidth="1"/>
    <col min="5" max="5" width="11.7109375" customWidth="1"/>
    <col min="6" max="6" width="12.42578125" customWidth="1"/>
    <col min="7" max="7" width="12.7109375" customWidth="1"/>
    <col min="8" max="8" width="11.28515625" customWidth="1"/>
    <col min="9" max="9" width="10.5703125" customWidth="1"/>
    <col min="10" max="10" width="0" hidden="1" customWidth="1"/>
    <col min="11" max="12" width="12" bestFit="1" customWidth="1"/>
    <col min="13" max="13" width="10.5703125" bestFit="1" customWidth="1"/>
    <col min="14" max="14" width="12" customWidth="1"/>
    <col min="15" max="21" width="8.85546875" customWidth="1"/>
  </cols>
  <sheetData>
    <row r="1" spans="1:20" s="18" customFormat="1" ht="26.25" x14ac:dyDescent="0.4">
      <c r="A1" s="18" t="s">
        <v>27</v>
      </c>
    </row>
    <row r="2" spans="1:20" s="18" customFormat="1" ht="26.25" x14ac:dyDescent="0.4">
      <c r="A2" s="18" t="s">
        <v>28</v>
      </c>
    </row>
    <row r="3" spans="1:20" ht="30" customHeight="1" x14ac:dyDescent="0.25">
      <c r="A3" s="50" t="s">
        <v>0</v>
      </c>
      <c r="B3" s="51" t="s">
        <v>9</v>
      </c>
      <c r="C3" s="52" t="s">
        <v>10</v>
      </c>
      <c r="D3" s="53"/>
      <c r="E3" s="56" t="s">
        <v>11</v>
      </c>
      <c r="F3" s="57"/>
      <c r="G3" s="57"/>
      <c r="H3" s="57"/>
      <c r="I3" s="57"/>
    </row>
    <row r="4" spans="1:20" x14ac:dyDescent="0.25">
      <c r="A4" s="50"/>
      <c r="B4" s="51"/>
      <c r="C4" s="54"/>
      <c r="D4" s="55"/>
      <c r="E4" s="11" t="s">
        <v>12</v>
      </c>
      <c r="F4" s="11" t="s">
        <v>5</v>
      </c>
      <c r="G4" s="11" t="s">
        <v>6</v>
      </c>
      <c r="H4" s="11" t="s">
        <v>7</v>
      </c>
      <c r="I4" s="11" t="s">
        <v>8</v>
      </c>
      <c r="K4" s="22" t="s">
        <v>46</v>
      </c>
      <c r="N4" s="8"/>
      <c r="Q4" s="8"/>
      <c r="T4" s="8"/>
    </row>
    <row r="5" spans="1:20" x14ac:dyDescent="0.25">
      <c r="A5" s="7" t="s">
        <v>40</v>
      </c>
      <c r="B5" s="4">
        <v>2255105</v>
      </c>
      <c r="C5" s="4" t="s">
        <v>5</v>
      </c>
      <c r="D5" s="4">
        <v>93228</v>
      </c>
      <c r="E5" s="4">
        <f>B5-93228</f>
        <v>2161877</v>
      </c>
      <c r="F5" s="4">
        <f>E5*'2017 Flagship Allocation'!F4/'2017 Flagship Allocation'!$E$4</f>
        <v>1692788.1680862042</v>
      </c>
      <c r="G5" s="4">
        <f>E5*'2017 Flagship Allocation'!G4/'2017 Flagship Allocation'!$E$4</f>
        <v>0</v>
      </c>
      <c r="H5" s="4">
        <f>E5*'2017 Flagship Allocation'!H4/'2017 Flagship Allocation'!$E$4</f>
        <v>438512.8090537411</v>
      </c>
      <c r="I5" s="4">
        <f>E5*'2017 Flagship Allocation'!I4/'2017 Flagship Allocation'!$E$4</f>
        <v>30576.018864713707</v>
      </c>
      <c r="J5" s="1"/>
      <c r="K5" s="1"/>
    </row>
    <row r="6" spans="1:20" x14ac:dyDescent="0.25">
      <c r="A6" s="3" t="s">
        <v>1</v>
      </c>
      <c r="B6" s="4">
        <v>2329230</v>
      </c>
      <c r="C6" s="4" t="s">
        <v>8</v>
      </c>
      <c r="D6" s="4">
        <v>30804</v>
      </c>
      <c r="E6" s="4">
        <f>B6-D6-D7</f>
        <v>2284046</v>
      </c>
      <c r="F6" s="4">
        <f>E6*'2017 Flagship Allocation'!F5/'2017 Flagship Allocation'!$E$5</f>
        <v>2054943.6793497417</v>
      </c>
      <c r="G6" s="4">
        <f>E6*'2017 Flagship Allocation'!G5/'2017 Flagship Allocation'!$E$5</f>
        <v>0</v>
      </c>
      <c r="H6" s="4">
        <f>E6*'2017 Flagship Allocation'!H5/'2017 Flagship Allocation'!$E$5</f>
        <v>23987.055258182056</v>
      </c>
      <c r="I6" s="4">
        <f>E6*'2017 Flagship Allocation'!I5/'2017 Flagship Allocation'!$E$5</f>
        <v>205115.26539207619</v>
      </c>
      <c r="J6" s="1"/>
      <c r="K6" s="1"/>
    </row>
    <row r="7" spans="1:20" x14ac:dyDescent="0.25">
      <c r="A7" s="5"/>
      <c r="B7" s="6"/>
      <c r="C7" s="4" t="s">
        <v>5</v>
      </c>
      <c r="D7" s="4">
        <v>14380</v>
      </c>
      <c r="E7" s="4"/>
      <c r="F7" s="4"/>
      <c r="G7" s="4"/>
      <c r="H7" s="4"/>
      <c r="I7" s="4"/>
      <c r="J7" s="1"/>
      <c r="K7" s="1"/>
      <c r="N7" s="8"/>
      <c r="Q7" s="8"/>
      <c r="T7" s="8"/>
    </row>
    <row r="8" spans="1:20" x14ac:dyDescent="0.25">
      <c r="A8" s="3" t="s">
        <v>2</v>
      </c>
      <c r="B8" s="4">
        <v>1782870</v>
      </c>
      <c r="C8" s="4" t="s">
        <v>6</v>
      </c>
      <c r="D8" s="4">
        <v>82870</v>
      </c>
      <c r="E8" s="4">
        <f>SUM(F8:K8)</f>
        <v>1700000</v>
      </c>
      <c r="F8" s="4">
        <v>537000</v>
      </c>
      <c r="G8" s="4">
        <v>639000</v>
      </c>
      <c r="H8" s="4">
        <v>285000</v>
      </c>
      <c r="I8" s="4">
        <v>25000</v>
      </c>
      <c r="J8" s="1"/>
      <c r="K8" s="1">
        <v>214000</v>
      </c>
      <c r="L8" t="s">
        <v>47</v>
      </c>
    </row>
    <row r="9" spans="1:20" x14ac:dyDescent="0.25">
      <c r="A9" s="3" t="s">
        <v>3</v>
      </c>
      <c r="B9" s="4">
        <v>1323087</v>
      </c>
      <c r="C9" s="4" t="s">
        <v>5</v>
      </c>
      <c r="D9" s="4">
        <v>50360</v>
      </c>
      <c r="E9" s="4">
        <f>B9-50360</f>
        <v>1272727</v>
      </c>
      <c r="F9" s="4">
        <f>E9*'2017 Flagship Allocation'!F8/'2017 Flagship Allocation'!$E$8</f>
        <v>570618.46196214086</v>
      </c>
      <c r="G9" s="4">
        <f>E9*'2017 Flagship Allocation'!G8/'2017 Flagship Allocation'!$E$8</f>
        <v>526537.88067611575</v>
      </c>
      <c r="H9" s="4">
        <f>E9*'2017 Flagship Allocation'!H8/'2017 Flagship Allocation'!$E$8</f>
        <v>175570.54605891294</v>
      </c>
      <c r="I9" s="4">
        <f>E9*'2017 Flagship Allocation'!I8/'2017 Flagship Allocation'!$E$8</f>
        <v>0</v>
      </c>
      <c r="J9" s="1"/>
      <c r="K9" s="1"/>
      <c r="L9" s="2"/>
      <c r="N9" s="8"/>
      <c r="Q9" s="8"/>
      <c r="T9" s="8"/>
    </row>
    <row r="10" spans="1:20" x14ac:dyDescent="0.25">
      <c r="A10" s="3" t="s">
        <v>4</v>
      </c>
      <c r="B10" s="4">
        <v>1379708</v>
      </c>
      <c r="C10" s="4" t="s">
        <v>5</v>
      </c>
      <c r="D10" s="4">
        <v>50000</v>
      </c>
      <c r="E10" s="4">
        <f>SUM(F10:K10)</f>
        <v>1329708</v>
      </c>
      <c r="F10" s="4">
        <f>(B10-D10)*F26</f>
        <v>1049356.633816808</v>
      </c>
      <c r="G10" s="4">
        <f>(B10-D10)*G26</f>
        <v>57754.40843835038</v>
      </c>
      <c r="H10" s="4">
        <f>(B10-D10)*H26</f>
        <v>222596.95774484161</v>
      </c>
      <c r="I10" s="4">
        <v>0</v>
      </c>
      <c r="J10" s="1"/>
      <c r="K10" s="1"/>
    </row>
    <row r="11" spans="1:20" x14ac:dyDescent="0.25">
      <c r="B11" s="2">
        <f>SUM(B5:B10)</f>
        <v>9070000</v>
      </c>
      <c r="C11" s="2"/>
      <c r="D11" s="2">
        <f t="shared" ref="D11:I11" si="0">SUM(D5:D10)</f>
        <v>321642</v>
      </c>
      <c r="E11" s="1">
        <f t="shared" si="0"/>
        <v>8748358</v>
      </c>
      <c r="F11" s="1">
        <f t="shared" si="0"/>
        <v>5904706.9432148952</v>
      </c>
      <c r="G11" s="1">
        <f t="shared" si="0"/>
        <v>1223292.2891144662</v>
      </c>
      <c r="H11" s="1">
        <f t="shared" si="0"/>
        <v>1145667.3681156777</v>
      </c>
      <c r="I11" s="1">
        <f t="shared" si="0"/>
        <v>260691.28425678989</v>
      </c>
      <c r="J11" s="1"/>
      <c r="K11" s="1"/>
    </row>
    <row r="12" spans="1:20" x14ac:dyDescent="0.25">
      <c r="J12" s="1"/>
      <c r="K12" s="1"/>
      <c r="L12" s="2"/>
    </row>
    <row r="13" spans="1:20" x14ac:dyDescent="0.25">
      <c r="J13" s="1"/>
      <c r="K13" s="1"/>
    </row>
    <row r="14" spans="1:20" ht="30" x14ac:dyDescent="0.25">
      <c r="E14" s="11" t="s">
        <v>15</v>
      </c>
      <c r="F14" s="14" t="s">
        <v>13</v>
      </c>
      <c r="G14" s="14" t="s">
        <v>16</v>
      </c>
      <c r="H14" s="14" t="s">
        <v>14</v>
      </c>
    </row>
    <row r="15" spans="1:20" x14ac:dyDescent="0.25">
      <c r="E15" s="3" t="s">
        <v>5</v>
      </c>
      <c r="F15" s="4">
        <f>F11</f>
        <v>5904706.9432148952</v>
      </c>
      <c r="G15" s="4">
        <f>D5+D7+D9+D10</f>
        <v>207968</v>
      </c>
      <c r="H15" s="4">
        <f>SUM(F15:G15)</f>
        <v>6112674.9432148952</v>
      </c>
    </row>
    <row r="16" spans="1:20" x14ac:dyDescent="0.25">
      <c r="E16" s="3" t="s">
        <v>6</v>
      </c>
      <c r="F16" s="4">
        <f>G11</f>
        <v>1223292.2891144662</v>
      </c>
      <c r="G16" s="4">
        <f>D8</f>
        <v>82870</v>
      </c>
      <c r="H16" s="4">
        <f t="shared" ref="H16:H18" si="1">SUM(F16:G16)</f>
        <v>1306162.2891144662</v>
      </c>
    </row>
    <row r="17" spans="1:8" x14ac:dyDescent="0.25">
      <c r="E17" s="3" t="s">
        <v>7</v>
      </c>
      <c r="F17" s="4">
        <f>H11</f>
        <v>1145667.3681156777</v>
      </c>
      <c r="G17" s="4">
        <v>0</v>
      </c>
      <c r="H17" s="4">
        <f t="shared" si="1"/>
        <v>1145667.3681156777</v>
      </c>
    </row>
    <row r="18" spans="1:8" ht="15.75" thickBot="1" x14ac:dyDescent="0.3">
      <c r="E18" s="3" t="s">
        <v>8</v>
      </c>
      <c r="F18" s="4">
        <f>I11</f>
        <v>260691.28425678989</v>
      </c>
      <c r="G18" s="4">
        <f>D6</f>
        <v>30804</v>
      </c>
      <c r="H18" s="9">
        <f t="shared" si="1"/>
        <v>291495.28425678989</v>
      </c>
    </row>
    <row r="19" spans="1:8" ht="15.75" thickBot="1" x14ac:dyDescent="0.3">
      <c r="F19" s="2">
        <f>SUM(F15:F18)</f>
        <v>8534357.8847018294</v>
      </c>
      <c r="G19" s="2">
        <f>SUM(G15:G18)</f>
        <v>321642</v>
      </c>
      <c r="H19" s="10">
        <f>SUM(H15:H18)</f>
        <v>8855999.8847018294</v>
      </c>
    </row>
    <row r="20" spans="1:8" x14ac:dyDescent="0.25">
      <c r="H20" s="2"/>
    </row>
    <row r="25" spans="1:8" x14ac:dyDescent="0.25">
      <c r="A25" t="s">
        <v>48</v>
      </c>
      <c r="B25">
        <v>2321060</v>
      </c>
      <c r="D25">
        <v>50000</v>
      </c>
      <c r="E25">
        <f>SUM(F25:I25)</f>
        <v>2271060</v>
      </c>
      <c r="F25">
        <f>1597508+244729-50000</f>
        <v>1792237</v>
      </c>
      <c r="G25">
        <v>98641</v>
      </c>
      <c r="H25">
        <v>380182</v>
      </c>
    </row>
    <row r="26" spans="1:8" x14ac:dyDescent="0.25">
      <c r="F26" s="23">
        <f>F25/E25</f>
        <v>0.78916321013095203</v>
      </c>
      <c r="G26" s="23">
        <f>G25/E25</f>
        <v>4.3433903111322468E-2</v>
      </c>
      <c r="H26" s="23">
        <f>H25/E25</f>
        <v>0.16740288675772547</v>
      </c>
    </row>
  </sheetData>
  <mergeCells count="4">
    <mergeCell ref="A3:A4"/>
    <mergeCell ref="B3:B4"/>
    <mergeCell ref="C3:D4"/>
    <mergeCell ref="E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tabSelected="1" workbookViewId="0">
      <selection activeCell="V23" sqref="V23"/>
    </sheetView>
  </sheetViews>
  <sheetFormatPr defaultRowHeight="15" x14ac:dyDescent="0.25"/>
  <cols>
    <col min="1" max="1" width="37.85546875" customWidth="1"/>
    <col min="2" max="2" width="13.28515625" customWidth="1"/>
    <col min="3" max="3" width="5.42578125" customWidth="1"/>
    <col min="4" max="4" width="10.42578125" customWidth="1"/>
    <col min="5" max="5" width="11.7109375" customWidth="1"/>
    <col min="6" max="6" width="12.42578125" customWidth="1"/>
    <col min="7" max="7" width="12.7109375" customWidth="1"/>
    <col min="8" max="8" width="11.28515625" customWidth="1"/>
    <col min="9" max="9" width="10.5703125" customWidth="1"/>
    <col min="10" max="10" width="0" hidden="1" customWidth="1"/>
    <col min="11" max="12" width="12" bestFit="1" customWidth="1"/>
    <col min="13" max="13" width="10.5703125" bestFit="1" customWidth="1"/>
    <col min="14" max="14" width="12" hidden="1" customWidth="1"/>
    <col min="15" max="21" width="0" hidden="1" customWidth="1"/>
    <col min="22" max="22" width="10.5703125" bestFit="1" customWidth="1"/>
  </cols>
  <sheetData>
    <row r="1" spans="1:23" s="18" customFormat="1" ht="26.25" x14ac:dyDescent="0.4">
      <c r="A1" s="18" t="s">
        <v>26</v>
      </c>
    </row>
    <row r="2" spans="1:23" ht="30" customHeight="1" x14ac:dyDescent="0.25">
      <c r="A2" s="50" t="s">
        <v>0</v>
      </c>
      <c r="B2" s="51" t="s">
        <v>9</v>
      </c>
      <c r="C2" s="52" t="s">
        <v>10</v>
      </c>
      <c r="D2" s="53"/>
      <c r="E2" s="56" t="s">
        <v>11</v>
      </c>
      <c r="F2" s="57"/>
      <c r="G2" s="57"/>
      <c r="H2" s="57"/>
      <c r="I2" s="57"/>
    </row>
    <row r="3" spans="1:23" x14ac:dyDescent="0.25">
      <c r="A3" s="50"/>
      <c r="B3" s="51"/>
      <c r="C3" s="54"/>
      <c r="D3" s="55"/>
      <c r="E3" s="11" t="s">
        <v>12</v>
      </c>
      <c r="F3" s="11" t="s">
        <v>5</v>
      </c>
      <c r="G3" s="11" t="s">
        <v>6</v>
      </c>
      <c r="H3" s="11" t="s">
        <v>7</v>
      </c>
      <c r="I3" s="11" t="s">
        <v>8</v>
      </c>
      <c r="N3" s="8">
        <f>2990000/B4</f>
        <v>0.78835138181915165</v>
      </c>
      <c r="O3">
        <f>N3*E4</f>
        <v>2916503.577375764</v>
      </c>
      <c r="Q3" s="8">
        <f>750402/B4</f>
        <v>0.19785299452169064</v>
      </c>
      <c r="R3">
        <f>Q3*E4</f>
        <v>731956.56102673186</v>
      </c>
      <c r="T3" s="8">
        <f>52323/B4</f>
        <v>1.3795621856496144E-2</v>
      </c>
      <c r="U3">
        <f>T3*E4</f>
        <v>51036.861765562579</v>
      </c>
    </row>
    <row r="4" spans="1:23" x14ac:dyDescent="0.25">
      <c r="A4" s="7" t="s">
        <v>50</v>
      </c>
      <c r="B4" s="4">
        <v>3792725.0068369997</v>
      </c>
      <c r="C4" s="4" t="s">
        <v>5</v>
      </c>
      <c r="D4" s="4">
        <v>93228</v>
      </c>
      <c r="E4" s="4">
        <f>B4-93228</f>
        <v>3699497.0068369997</v>
      </c>
      <c r="F4" s="4">
        <v>2896772</v>
      </c>
      <c r="G4" s="4">
        <v>0</v>
      </c>
      <c r="H4" s="4">
        <v>750402</v>
      </c>
      <c r="I4" s="4">
        <v>52323</v>
      </c>
      <c r="J4" s="1"/>
      <c r="K4" s="1"/>
    </row>
    <row r="5" spans="1:23" x14ac:dyDescent="0.25">
      <c r="A5" s="3" t="s">
        <v>1</v>
      </c>
      <c r="B5" s="4">
        <v>3918437</v>
      </c>
      <c r="C5" s="4" t="s">
        <v>8</v>
      </c>
      <c r="D5" s="4">
        <v>30804</v>
      </c>
      <c r="E5" s="4">
        <f>B5-30804-9420</f>
        <v>3878213</v>
      </c>
      <c r="F5" s="4">
        <f>3499207-H23</f>
        <v>3489207</v>
      </c>
      <c r="G5" s="4">
        <v>0</v>
      </c>
      <c r="H5" s="4">
        <f>30729+H22</f>
        <v>40729</v>
      </c>
      <c r="I5" s="4">
        <v>348277</v>
      </c>
      <c r="J5" s="1"/>
      <c r="K5" s="1"/>
      <c r="M5" s="2"/>
      <c r="V5" s="2"/>
    </row>
    <row r="6" spans="1:23" x14ac:dyDescent="0.25">
      <c r="A6" s="5"/>
      <c r="B6" s="6"/>
      <c r="C6" s="4" t="s">
        <v>5</v>
      </c>
      <c r="D6" s="4">
        <v>9420</v>
      </c>
      <c r="E6" s="4"/>
      <c r="F6" s="4"/>
      <c r="G6" s="4"/>
      <c r="H6" s="4"/>
      <c r="I6" s="4"/>
      <c r="J6" s="1"/>
      <c r="K6" s="1"/>
      <c r="N6" s="8"/>
      <c r="Q6" s="8"/>
      <c r="T6" s="8"/>
      <c r="V6" s="2"/>
    </row>
    <row r="7" spans="1:23" x14ac:dyDescent="0.25">
      <c r="A7" s="3" t="s">
        <v>2</v>
      </c>
      <c r="B7" s="4">
        <v>0</v>
      </c>
      <c r="C7" s="4"/>
      <c r="D7" s="4">
        <v>0</v>
      </c>
      <c r="E7" s="4">
        <v>0</v>
      </c>
      <c r="F7" s="4">
        <v>0</v>
      </c>
      <c r="G7" s="4">
        <v>0</v>
      </c>
      <c r="H7" s="4">
        <v>0</v>
      </c>
      <c r="I7" s="4">
        <v>0</v>
      </c>
      <c r="J7" s="1"/>
      <c r="K7" s="1"/>
    </row>
    <row r="8" spans="1:23" x14ac:dyDescent="0.25">
      <c r="A8" s="3" t="s">
        <v>3</v>
      </c>
      <c r="B8" s="4">
        <v>2225805.1902475609</v>
      </c>
      <c r="C8" s="4" t="s">
        <v>5</v>
      </c>
      <c r="D8" s="4">
        <v>50360</v>
      </c>
      <c r="E8" s="4">
        <f>B8-50360</f>
        <v>2175445.1902475609</v>
      </c>
      <c r="F8" s="4">
        <v>975346</v>
      </c>
      <c r="G8" s="4">
        <v>900000</v>
      </c>
      <c r="H8" s="4">
        <v>300099</v>
      </c>
      <c r="I8" s="4">
        <v>0</v>
      </c>
      <c r="J8" s="1"/>
      <c r="K8" s="1"/>
      <c r="L8" s="2"/>
      <c r="N8" s="8"/>
      <c r="Q8" s="8"/>
      <c r="T8" s="8"/>
    </row>
    <row r="9" spans="1:23" x14ac:dyDescent="0.25">
      <c r="A9" s="3" t="s">
        <v>4</v>
      </c>
      <c r="B9" s="4">
        <v>0</v>
      </c>
      <c r="C9" s="4"/>
      <c r="D9" s="4">
        <v>0</v>
      </c>
      <c r="E9" s="4">
        <v>0</v>
      </c>
      <c r="F9" s="4">
        <v>0</v>
      </c>
      <c r="G9" s="4">
        <v>0</v>
      </c>
      <c r="H9" s="4">
        <v>0</v>
      </c>
      <c r="I9" s="4">
        <v>0</v>
      </c>
      <c r="J9" s="1"/>
      <c r="K9" s="1"/>
    </row>
    <row r="10" spans="1:23" x14ac:dyDescent="0.25">
      <c r="B10" s="2">
        <f>SUM(B4:B9)</f>
        <v>9936967.197084561</v>
      </c>
      <c r="C10" s="2"/>
      <c r="D10" s="2">
        <f t="shared" ref="D10:I10" si="0">SUM(D4:D9)</f>
        <v>183812</v>
      </c>
      <c r="E10" s="1">
        <f t="shared" si="0"/>
        <v>9753155.197084561</v>
      </c>
      <c r="F10" s="1">
        <f t="shared" si="0"/>
        <v>7361325</v>
      </c>
      <c r="G10" s="1">
        <f t="shared" si="0"/>
        <v>900000</v>
      </c>
      <c r="H10" s="1">
        <f t="shared" si="0"/>
        <v>1091230</v>
      </c>
      <c r="I10" s="1">
        <f t="shared" si="0"/>
        <v>400600</v>
      </c>
      <c r="J10" s="1"/>
      <c r="K10" s="1"/>
      <c r="M10" s="2"/>
    </row>
    <row r="11" spans="1:23" x14ac:dyDescent="0.25">
      <c r="J11" s="1"/>
      <c r="K11" s="1"/>
      <c r="L11" s="2"/>
    </row>
    <row r="12" spans="1:23" x14ac:dyDescent="0.25">
      <c r="J12" s="1"/>
      <c r="K12" s="1"/>
      <c r="M12" s="2"/>
    </row>
    <row r="13" spans="1:23" ht="30" x14ac:dyDescent="0.25">
      <c r="E13" s="11" t="s">
        <v>15</v>
      </c>
      <c r="F13" s="14" t="s">
        <v>13</v>
      </c>
      <c r="G13" s="14" t="s">
        <v>16</v>
      </c>
      <c r="H13" s="14" t="s">
        <v>14</v>
      </c>
    </row>
    <row r="14" spans="1:23" x14ac:dyDescent="0.25">
      <c r="E14" s="3" t="s">
        <v>5</v>
      </c>
      <c r="F14" s="4">
        <f>F10</f>
        <v>7361325</v>
      </c>
      <c r="G14" s="4">
        <f>93228+9420+50360</f>
        <v>153008</v>
      </c>
      <c r="H14" s="4">
        <f>SUM(F14:G14)</f>
        <v>7514333</v>
      </c>
    </row>
    <row r="15" spans="1:23" x14ac:dyDescent="0.25">
      <c r="E15" s="3" t="s">
        <v>6</v>
      </c>
      <c r="F15" s="4">
        <f>G10</f>
        <v>900000</v>
      </c>
      <c r="G15" s="4">
        <v>0</v>
      </c>
      <c r="H15" s="4">
        <f t="shared" ref="H15:H17" si="1">SUM(F15:G15)</f>
        <v>900000</v>
      </c>
    </row>
    <row r="16" spans="1:23" x14ac:dyDescent="0.25">
      <c r="E16" s="3" t="s">
        <v>7</v>
      </c>
      <c r="F16" s="4">
        <f>H10</f>
        <v>1091230</v>
      </c>
      <c r="G16" s="4">
        <v>0</v>
      </c>
      <c r="H16" s="4">
        <f t="shared" si="1"/>
        <v>1091230</v>
      </c>
      <c r="W16" s="2"/>
    </row>
    <row r="17" spans="5:8" ht="15.75" thickBot="1" x14ac:dyDescent="0.3">
      <c r="E17" s="3" t="s">
        <v>8</v>
      </c>
      <c r="F17" s="4">
        <f>I10</f>
        <v>400600</v>
      </c>
      <c r="G17" s="4">
        <v>30804</v>
      </c>
      <c r="H17" s="9">
        <f t="shared" si="1"/>
        <v>431404</v>
      </c>
    </row>
    <row r="18" spans="5:8" ht="15.75" thickBot="1" x14ac:dyDescent="0.3">
      <c r="F18" s="2">
        <f>SUM(F14:F17)</f>
        <v>9753155</v>
      </c>
      <c r="G18" s="2">
        <f>SUM(G14:G17)</f>
        <v>183812</v>
      </c>
      <c r="H18" s="10">
        <f>SUM(H14:H17)</f>
        <v>9936967</v>
      </c>
    </row>
    <row r="19" spans="5:8" x14ac:dyDescent="0.25">
      <c r="H19" s="2"/>
    </row>
    <row r="22" spans="5:8" x14ac:dyDescent="0.25">
      <c r="E22" t="s">
        <v>54</v>
      </c>
      <c r="H22" s="61">
        <v>10000</v>
      </c>
    </row>
    <row r="23" spans="5:8" x14ac:dyDescent="0.25">
      <c r="E23" t="s">
        <v>55</v>
      </c>
      <c r="H23">
        <v>10000</v>
      </c>
    </row>
  </sheetData>
  <mergeCells count="4">
    <mergeCell ref="E2:I2"/>
    <mergeCell ref="A2:A3"/>
    <mergeCell ref="B2:B3"/>
    <mergeCell ref="C2: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3"/>
  <sheetViews>
    <sheetView workbookViewId="0">
      <selection activeCell="A19" sqref="A19"/>
    </sheetView>
  </sheetViews>
  <sheetFormatPr defaultRowHeight="15" x14ac:dyDescent="0.25"/>
  <cols>
    <col min="1" max="1" width="36" customWidth="1"/>
    <col min="2" max="3" width="9" customWidth="1"/>
    <col min="4" max="4" width="9.42578125" customWidth="1"/>
    <col min="5" max="6" width="14.28515625" customWidth="1"/>
    <col min="7" max="7" width="16.28515625" customWidth="1"/>
    <col min="8" max="8" width="13.42578125" customWidth="1"/>
    <col min="9" max="10" width="13.7109375" customWidth="1"/>
    <col min="11" max="11" width="14.28515625" customWidth="1"/>
  </cols>
  <sheetData>
    <row r="2" spans="1:11" ht="23.25" x14ac:dyDescent="0.35">
      <c r="A2" s="17">
        <v>2017</v>
      </c>
    </row>
    <row r="3" spans="1:11" ht="14.45" customHeight="1" x14ac:dyDescent="0.25">
      <c r="A3" s="50" t="s">
        <v>0</v>
      </c>
      <c r="B3" s="52" t="s">
        <v>25</v>
      </c>
      <c r="C3" s="12"/>
      <c r="D3" s="15"/>
      <c r="E3" s="58" t="s">
        <v>18</v>
      </c>
      <c r="F3" s="59"/>
      <c r="G3" s="59"/>
      <c r="H3" s="59"/>
      <c r="I3" s="59"/>
      <c r="J3" s="59"/>
      <c r="K3" s="60"/>
    </row>
    <row r="4" spans="1:11" ht="45" x14ac:dyDescent="0.25">
      <c r="A4" s="50"/>
      <c r="B4" s="54"/>
      <c r="C4" s="13" t="s">
        <v>30</v>
      </c>
      <c r="D4" s="16" t="s">
        <v>31</v>
      </c>
      <c r="E4" s="14" t="s">
        <v>32</v>
      </c>
      <c r="F4" s="14" t="s">
        <v>33</v>
      </c>
      <c r="G4" s="14" t="s">
        <v>21</v>
      </c>
      <c r="H4" s="14" t="s">
        <v>22</v>
      </c>
      <c r="I4" s="14" t="s">
        <v>23</v>
      </c>
      <c r="J4" s="14" t="s">
        <v>29</v>
      </c>
      <c r="K4" s="14" t="s">
        <v>24</v>
      </c>
    </row>
    <row r="5" spans="1:11" x14ac:dyDescent="0.25">
      <c r="A5" s="7" t="s">
        <v>50</v>
      </c>
      <c r="B5" s="4" t="s">
        <v>5</v>
      </c>
      <c r="C5" s="4">
        <v>90016</v>
      </c>
      <c r="D5" s="4">
        <f>SUM(E5:K5)</f>
        <v>105318.38</v>
      </c>
      <c r="E5" s="4">
        <v>83807.5</v>
      </c>
      <c r="F5" s="4">
        <v>6208.88</v>
      </c>
      <c r="G5" s="4">
        <v>0</v>
      </c>
      <c r="H5" s="4">
        <v>0</v>
      </c>
      <c r="I5" s="4">
        <v>0</v>
      </c>
      <c r="J5" s="19">
        <v>15302</v>
      </c>
      <c r="K5" s="4"/>
    </row>
    <row r="6" spans="1:11" x14ac:dyDescent="0.25">
      <c r="A6" s="3" t="s">
        <v>1</v>
      </c>
      <c r="B6" s="4" t="s">
        <v>8</v>
      </c>
      <c r="C6" s="4">
        <v>30804</v>
      </c>
      <c r="D6" s="4">
        <f>SUM(E6:K6)</f>
        <v>42201</v>
      </c>
      <c r="E6" s="4">
        <v>30804</v>
      </c>
      <c r="F6" s="4"/>
      <c r="G6" s="4"/>
      <c r="H6" s="4"/>
      <c r="I6" s="4"/>
      <c r="J6" s="4">
        <v>11397</v>
      </c>
      <c r="K6" s="4"/>
    </row>
    <row r="7" spans="1:11" x14ac:dyDescent="0.25">
      <c r="A7" s="5"/>
      <c r="B7" s="4" t="s">
        <v>5</v>
      </c>
      <c r="C7" s="4">
        <v>9420</v>
      </c>
      <c r="D7" s="4">
        <f t="shared" ref="D7:D10" si="0">SUM(E7:K7)</f>
        <v>10833</v>
      </c>
      <c r="E7" s="4"/>
      <c r="F7" s="4">
        <v>9420</v>
      </c>
      <c r="G7" s="4"/>
      <c r="H7" s="4"/>
      <c r="I7" s="4"/>
      <c r="J7" s="4">
        <f>F7*0.15</f>
        <v>1413</v>
      </c>
      <c r="K7" s="4"/>
    </row>
    <row r="8" spans="1:11" x14ac:dyDescent="0.25">
      <c r="A8" s="3" t="s">
        <v>2</v>
      </c>
      <c r="B8" s="4" t="s">
        <v>6</v>
      </c>
      <c r="C8" s="4">
        <v>0</v>
      </c>
      <c r="D8" s="4">
        <f t="shared" si="0"/>
        <v>0</v>
      </c>
      <c r="E8" s="4"/>
      <c r="F8" s="4"/>
      <c r="G8" s="4"/>
      <c r="H8" s="4"/>
      <c r="I8" s="4"/>
      <c r="J8" s="4"/>
      <c r="K8" s="4"/>
    </row>
    <row r="9" spans="1:11" x14ac:dyDescent="0.25">
      <c r="A9" s="3" t="s">
        <v>3</v>
      </c>
      <c r="B9" s="4" t="s">
        <v>5</v>
      </c>
      <c r="C9" s="4">
        <v>50360</v>
      </c>
      <c r="D9" s="4">
        <f>SUM(E9:K9)</f>
        <v>57914</v>
      </c>
      <c r="E9" s="4">
        <v>41080</v>
      </c>
      <c r="F9" s="4">
        <v>9280</v>
      </c>
      <c r="G9" s="4"/>
      <c r="H9" s="4"/>
      <c r="I9" s="4"/>
      <c r="J9" s="4">
        <f>0.15*(E9+F9)</f>
        <v>7554</v>
      </c>
      <c r="K9" s="4"/>
    </row>
    <row r="10" spans="1:11" x14ac:dyDescent="0.25">
      <c r="A10" s="3" t="s">
        <v>4</v>
      </c>
      <c r="B10" s="4" t="s">
        <v>5</v>
      </c>
      <c r="C10" s="4">
        <v>0</v>
      </c>
      <c r="D10" s="4">
        <f t="shared" si="0"/>
        <v>0</v>
      </c>
      <c r="E10" s="4">
        <v>0</v>
      </c>
      <c r="F10" s="4">
        <v>0</v>
      </c>
      <c r="G10" s="4">
        <v>0</v>
      </c>
      <c r="H10" s="4">
        <v>0</v>
      </c>
      <c r="I10" s="4"/>
      <c r="J10" s="4"/>
      <c r="K10" s="4">
        <v>0</v>
      </c>
    </row>
    <row r="15" spans="1:11" ht="23.25" x14ac:dyDescent="0.35">
      <c r="A15" s="17">
        <v>2018</v>
      </c>
    </row>
    <row r="16" spans="1:11" x14ac:dyDescent="0.25">
      <c r="A16" s="50" t="s">
        <v>0</v>
      </c>
      <c r="B16" s="52" t="s">
        <v>25</v>
      </c>
      <c r="C16" s="12"/>
      <c r="D16" s="15"/>
      <c r="E16" s="58" t="s">
        <v>18</v>
      </c>
      <c r="F16" s="59"/>
      <c r="G16" s="59"/>
      <c r="H16" s="59"/>
      <c r="I16" s="59"/>
      <c r="J16" s="59"/>
      <c r="K16" s="60"/>
    </row>
    <row r="17" spans="1:11" ht="45" x14ac:dyDescent="0.25">
      <c r="A17" s="50"/>
      <c r="B17" s="54"/>
      <c r="C17" s="13"/>
      <c r="D17" s="16" t="s">
        <v>17</v>
      </c>
      <c r="E17" s="14" t="s">
        <v>19</v>
      </c>
      <c r="F17" s="14" t="s">
        <v>20</v>
      </c>
      <c r="G17" s="14" t="s">
        <v>21</v>
      </c>
      <c r="H17" s="14" t="s">
        <v>22</v>
      </c>
      <c r="I17" s="14" t="s">
        <v>23</v>
      </c>
      <c r="J17" s="14"/>
      <c r="K17" s="14" t="s">
        <v>24</v>
      </c>
    </row>
    <row r="18" spans="1:11" x14ac:dyDescent="0.25">
      <c r="A18" s="7" t="s">
        <v>40</v>
      </c>
      <c r="B18" s="4" t="s">
        <v>5</v>
      </c>
      <c r="C18" s="4"/>
      <c r="D18" s="4">
        <v>93228</v>
      </c>
      <c r="E18" s="4"/>
      <c r="F18" s="4"/>
      <c r="G18" s="4"/>
      <c r="H18" s="4"/>
      <c r="I18" s="4"/>
      <c r="J18" s="4"/>
      <c r="K18" s="4"/>
    </row>
    <row r="19" spans="1:11" x14ac:dyDescent="0.25">
      <c r="A19" s="3" t="s">
        <v>1</v>
      </c>
      <c r="B19" s="4" t="s">
        <v>8</v>
      </c>
      <c r="C19" s="4"/>
      <c r="D19" s="4">
        <v>30804</v>
      </c>
      <c r="E19" s="4"/>
      <c r="F19" s="4"/>
      <c r="G19" s="4"/>
      <c r="H19" s="4"/>
      <c r="I19" s="4"/>
      <c r="J19" s="4"/>
      <c r="K19" s="4"/>
    </row>
    <row r="20" spans="1:11" x14ac:dyDescent="0.25">
      <c r="A20" s="5"/>
      <c r="B20" s="4" t="s">
        <v>5</v>
      </c>
      <c r="C20" s="4"/>
      <c r="D20" s="4">
        <v>14380</v>
      </c>
      <c r="E20" s="4"/>
      <c r="F20" s="4"/>
      <c r="G20" s="4"/>
      <c r="H20" s="4"/>
      <c r="I20" s="4"/>
      <c r="J20" s="4"/>
      <c r="K20" s="4"/>
    </row>
    <row r="21" spans="1:11" x14ac:dyDescent="0.25">
      <c r="A21" s="3" t="s">
        <v>2</v>
      </c>
      <c r="B21" s="4" t="s">
        <v>6</v>
      </c>
      <c r="C21" s="4"/>
      <c r="D21" s="4">
        <v>0</v>
      </c>
      <c r="E21" s="4"/>
      <c r="F21" s="4"/>
      <c r="G21" s="4"/>
      <c r="H21" s="4"/>
      <c r="I21" s="4"/>
      <c r="J21" s="4"/>
      <c r="K21" s="4"/>
    </row>
    <row r="22" spans="1:11" x14ac:dyDescent="0.25">
      <c r="A22" s="3" t="s">
        <v>3</v>
      </c>
      <c r="B22" s="4" t="s">
        <v>5</v>
      </c>
      <c r="C22" s="4"/>
      <c r="D22" s="4">
        <v>50360</v>
      </c>
      <c r="E22" s="4"/>
      <c r="F22" s="4"/>
      <c r="G22" s="4"/>
      <c r="H22" s="4"/>
      <c r="I22" s="4"/>
      <c r="J22" s="4"/>
      <c r="K22" s="4"/>
    </row>
    <row r="23" spans="1:11" x14ac:dyDescent="0.25">
      <c r="A23" s="3" t="s">
        <v>4</v>
      </c>
      <c r="B23" s="4" t="s">
        <v>5</v>
      </c>
      <c r="C23" s="4"/>
      <c r="D23" s="4">
        <v>0</v>
      </c>
      <c r="E23" s="4">
        <v>0</v>
      </c>
      <c r="F23" s="4">
        <v>0</v>
      </c>
      <c r="G23" s="4">
        <v>0</v>
      </c>
      <c r="H23" s="4">
        <v>0</v>
      </c>
      <c r="I23" s="4"/>
      <c r="J23" s="4"/>
      <c r="K23" s="4">
        <v>0</v>
      </c>
    </row>
  </sheetData>
  <mergeCells count="6">
    <mergeCell ref="A3:A4"/>
    <mergeCell ref="B3:B4"/>
    <mergeCell ref="E3:K3"/>
    <mergeCell ref="A16:A17"/>
    <mergeCell ref="B16:B17"/>
    <mergeCell ref="E16:K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Approx 2018 ILRI prog alloctn</vt:lpstr>
      <vt:lpstr>2018 Flagship Allocation</vt:lpstr>
      <vt:lpstr>2017 Flagship Allocation</vt:lpstr>
      <vt:lpstr> Flagship Management Costs</vt:lpstr>
    </vt:vector>
  </TitlesOfParts>
  <Company>ILRI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Ndungu, Esther (ILRI)</dc:creator>
  <cp:lastModifiedBy>Ndungu, Esther (ILRI)</cp:lastModifiedBy>
  <dcterms:created xsi:type="dcterms:W3CDTF">2017-07-05T11:17:38Z</dcterms:created>
  <dcterms:modified xsi:type="dcterms:W3CDTF">2017-07-27T06:38:36Z</dcterms:modified>
</cp:coreProperties>
</file>